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7170" activeTab="0"/>
  </bookViews>
  <sheets>
    <sheet name="25Jahre" sheetId="1" r:id="rId1"/>
    <sheet name="KfW" sheetId="2" r:id="rId2"/>
    <sheet name="Vergütung" sheetId="3" r:id="rId3"/>
  </sheets>
  <definedNames>
    <definedName name="_xlnm.Print_Area" localSheetId="0">'25Jahre'!$A$1:$M$46</definedName>
    <definedName name="ExterneDaten_1" localSheetId="0">'25Jahre'!$A$13:$L$46</definedName>
  </definedNames>
  <calcPr fullCalcOnLoad="1"/>
</workbook>
</file>

<file path=xl/sharedStrings.xml><?xml version="1.0" encoding="utf-8"?>
<sst xmlns="http://schemas.openxmlformats.org/spreadsheetml/2006/main" count="113" uniqueCount="97">
  <si>
    <t>Finanzplan</t>
  </si>
  <si>
    <t>Zinsen</t>
  </si>
  <si>
    <t>Tilgung</t>
  </si>
  <si>
    <t>Restschuld</t>
  </si>
  <si>
    <t>Strom-Ertrag</t>
  </si>
  <si>
    <t>Zählergebühr</t>
  </si>
  <si>
    <t>Rücklage</t>
  </si>
  <si>
    <t>Start</t>
  </si>
  <si>
    <t>1.Jahr</t>
  </si>
  <si>
    <t>2.Jahr</t>
  </si>
  <si>
    <t>3.Jahr</t>
  </si>
  <si>
    <t>4.Jahr</t>
  </si>
  <si>
    <t>5.Jahr</t>
  </si>
  <si>
    <t>6.Jahr</t>
  </si>
  <si>
    <t>7.Jahr</t>
  </si>
  <si>
    <t>8.Jahr</t>
  </si>
  <si>
    <t>9.Jahr</t>
  </si>
  <si>
    <t>10.Jahr</t>
  </si>
  <si>
    <t xml:space="preserve">Größe / Leistung der Anlage </t>
  </si>
  <si>
    <t xml:space="preserve">kWp </t>
  </si>
  <si>
    <t xml:space="preserve">Förderung NRW / REN-Programm </t>
  </si>
  <si>
    <t>€</t>
  </si>
  <si>
    <t>kWh/kWp</t>
  </si>
  <si>
    <t xml:space="preserve">Voraussichtlicher Minderertrag </t>
  </si>
  <si>
    <t>%</t>
  </si>
  <si>
    <t xml:space="preserve">nicht öffentliche Fördergelder </t>
  </si>
  <si>
    <t xml:space="preserve">Jahr der Inbetriebname </t>
  </si>
  <si>
    <t xml:space="preserve">Zinssatz Restsumme </t>
  </si>
  <si>
    <t xml:space="preserve">Voraussichtliche Einspeisevergütung laut EEG </t>
  </si>
  <si>
    <t xml:space="preserve">spezif. Jahresertr. einer opt. inst. Anlage: </t>
  </si>
  <si>
    <t xml:space="preserve">% bei einerRestfinanzierung von </t>
  </si>
  <si>
    <t xml:space="preserve">% bei einem Kreditbetrag von </t>
  </si>
  <si>
    <t xml:space="preserve"> - Tilgung in halbjährlichen Raten</t>
  </si>
  <si>
    <t xml:space="preserve"> - Zinssatz:</t>
  </si>
  <si>
    <t xml:space="preserve"> - in 10 Jahren rückzahlbar</t>
  </si>
  <si>
    <t>Restschuld :</t>
  </si>
  <si>
    <r>
      <t xml:space="preserve"> - </t>
    </r>
    <r>
      <rPr>
        <b/>
        <sz val="8"/>
        <rFont val="Arial"/>
        <family val="2"/>
      </rPr>
      <t>zwei</t>
    </r>
    <r>
      <rPr>
        <sz val="8"/>
        <rFont val="Arial"/>
        <family val="0"/>
      </rPr>
      <t xml:space="preserve"> Jahre Tilgungs-frei</t>
    </r>
  </si>
  <si>
    <t xml:space="preserve"> ! ! !</t>
  </si>
  <si>
    <t>Anfangstilgung Bank</t>
  </si>
  <si>
    <t>% pro Jahr</t>
  </si>
  <si>
    <t>Jahr</t>
  </si>
  <si>
    <t xml:space="preserve">Wirtschaftlichkeitsberechnung in Anlehnung an den Online-PV-Förderrechner (c/o Energieagentur NRW) </t>
  </si>
  <si>
    <t>Die Anlage</t>
  </si>
  <si>
    <t>Strompreis/ Vergütung nach 20 Jahren :</t>
  </si>
  <si>
    <t>Gewinne/Verluste nach dem 25. Jahr</t>
  </si>
  <si>
    <t>sonst. öffentl. Zuschüsse Bund, Land oder Kommune</t>
  </si>
  <si>
    <t>Zinssatz  K f W</t>
  </si>
  <si>
    <t>Beispielrechnung  für Kreditförderung der KfW</t>
  </si>
  <si>
    <t>10 Jahre</t>
  </si>
  <si>
    <t>20 Jahre</t>
  </si>
  <si>
    <r>
      <t>Vergütung</t>
    </r>
    <r>
      <rPr>
        <sz val="10"/>
        <rFont val="Arial"/>
        <family val="0"/>
      </rPr>
      <t xml:space="preserve"> ab 1.1.2004</t>
    </r>
  </si>
  <si>
    <r>
      <t>Vergütung</t>
    </r>
    <r>
      <rPr>
        <sz val="10"/>
        <rFont val="Arial"/>
        <family val="0"/>
      </rPr>
      <t xml:space="preserve"> bis Ende 03</t>
    </r>
  </si>
  <si>
    <t xml:space="preserve">Tilgung [%]          </t>
  </si>
  <si>
    <t>Kredit - Laufzeit ca.</t>
  </si>
  <si>
    <t>Auswahl-Werte:</t>
  </si>
  <si>
    <t>Ertrags-Summe</t>
  </si>
  <si>
    <t xml:space="preserve">jährliche Bilanz von </t>
  </si>
  <si>
    <t>Ertrag - Belastung</t>
  </si>
  <si>
    <t xml:space="preserve">gesamte bisherige </t>
  </si>
  <si>
    <t>Rücklage f. Reparaturen/Versicherungen ( 1 % )</t>
  </si>
  <si>
    <t xml:space="preserve">     *   ( hier bei der Investition bereits berücksichtigt ! )</t>
  </si>
  <si>
    <t>Haben/Soll-Zns</t>
  </si>
  <si>
    <t>20 Jahre ( bei 5% Zins)</t>
  </si>
  <si>
    <t>bei 5% Zins :</t>
  </si>
  <si>
    <t>Degression ab 2005:</t>
  </si>
  <si>
    <t>(95% vom jeweil.Vorjahreswert)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</si>
  <si>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</si>
  <si>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</si>
  <si>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</si>
  <si>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</si>
  <si>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</si>
  <si>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</si>
  <si>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</si>
  <si>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</si>
  <si>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</si>
  <si>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</si>
  <si>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</si>
  <si>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</si>
  <si>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</si>
  <si>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</si>
  <si>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</si>
  <si>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</si>
  <si>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</si>
  <si>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</si>
  <si>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</si>
  <si>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</si>
  <si>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>21. Jahr</t>
  </si>
  <si>
    <t>22. Jahr</t>
  </si>
  <si>
    <t>23. Jahr</t>
  </si>
  <si>
    <t>24. Jahr</t>
  </si>
  <si>
    <t>25. Jahr</t>
  </si>
  <si>
    <t>Kredit</t>
  </si>
  <si>
    <t>(Anl. bis 30 kWp)</t>
  </si>
  <si>
    <t>Jahres- Ertrag :</t>
  </si>
  <si>
    <t>kWh</t>
  </si>
  <si>
    <t>Zählermiete (-gebühr)  *</t>
  </si>
  <si>
    <t xml:space="preserve">Investitionssumme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</si>
</sst>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  <numFmt numFmtId="169" formatCode="#,##0.000000_ ;[Red]\-#,##0.000000\ "/>
    <numFmt numFmtId="170" formatCode="0.00000"/>
    <numFmt numFmtId="171" formatCode="0.000"/>
    <numFmt numFmtId="172" formatCode="#,##0.000\ &quot;€&quot;;[Red]\-#,##0.000\ &quot;€&quot;"/>
    <numFmt numFmtId="173" formatCode="#,##0.000000\ &quot;€&quot;;[Red]\-#,##0.000000\ &quot;€&quot;"/>
    <numFmt numFmtId="174" formatCode="#,##0.00_ ;[Red]\-#,##0.00\ "/>
    <numFmt numFmtId="175" formatCode="#,##0.000_ ;[Red]\-#,##0.000\ "/>
    <numFmt numFmtId="176" formatCode="#,##0.00\ &quot;€&quot;"/>
    <numFmt numFmtId="177" formatCode="[$-407]dddd\,\ d\.\ mmmm\ yyyy"/>
    <numFmt numFmtId="178" formatCode="0.0000"/>
    <numFmt numFmtId="179" formatCode="0.000000"/>
    <numFmt numFmtId="180" formatCode="0.0000000"/>
    <numFmt numFmtId="181" formatCode="0.0000%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sz val="8"/>
      <color indexed="57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u val="single"/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1" fillId="4" borderId="0" xfId="0" applyNumberFormat="1" applyFont="1" applyFill="1" applyAlignment="1">
      <alignment/>
    </xf>
    <xf numFmtId="8" fontId="1" fillId="5" borderId="0" xfId="0" applyNumberFormat="1" applyFont="1" applyFill="1" applyAlignment="1">
      <alignment/>
    </xf>
    <xf numFmtId="8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8" fontId="1" fillId="0" borderId="0" xfId="0" applyNumberFormat="1" applyFont="1" applyFill="1" applyAlignment="1">
      <alignment/>
    </xf>
    <xf numFmtId="8" fontId="2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8" fontId="1" fillId="6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1" fillId="7" borderId="1" xfId="0" applyNumberFormat="1" applyFont="1" applyFill="1" applyBorder="1" applyAlignment="1">
      <alignment/>
    </xf>
    <xf numFmtId="168" fontId="1" fillId="7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8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0" xfId="0" applyFont="1" applyFill="1" applyAlignment="1">
      <alignment/>
    </xf>
    <xf numFmtId="168" fontId="1" fillId="9" borderId="1" xfId="0" applyNumberFormat="1" applyFont="1" applyFill="1" applyBorder="1" applyAlignment="1">
      <alignment/>
    </xf>
    <xf numFmtId="168" fontId="1" fillId="10" borderId="1" xfId="0" applyNumberFormat="1" applyFont="1" applyFill="1" applyBorder="1" applyAlignment="1">
      <alignment/>
    </xf>
    <xf numFmtId="168" fontId="1" fillId="11" borderId="1" xfId="0" applyNumberFormat="1" applyFont="1" applyFill="1" applyBorder="1" applyAlignment="1">
      <alignment/>
    </xf>
    <xf numFmtId="168" fontId="1" fillId="12" borderId="0" xfId="0" applyNumberFormat="1" applyFont="1" applyFill="1" applyAlignment="1">
      <alignment/>
    </xf>
    <xf numFmtId="0" fontId="1" fillId="13" borderId="1" xfId="0" applyFont="1" applyFill="1" applyBorder="1" applyAlignment="1">
      <alignment/>
    </xf>
    <xf numFmtId="8" fontId="2" fillId="12" borderId="1" xfId="0" applyNumberFormat="1" applyFont="1" applyFill="1" applyBorder="1" applyAlignment="1">
      <alignment/>
    </xf>
    <xf numFmtId="4" fontId="1" fillId="12" borderId="1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8" fontId="1" fillId="13" borderId="0" xfId="0" applyNumberFormat="1" applyFont="1" applyFill="1" applyAlignment="1">
      <alignment/>
    </xf>
    <xf numFmtId="8" fontId="1" fillId="8" borderId="0" xfId="0" applyNumberFormat="1" applyFont="1" applyFill="1" applyAlignment="1">
      <alignment/>
    </xf>
    <xf numFmtId="0" fontId="1" fillId="8" borderId="0" xfId="0" applyFont="1" applyFill="1" applyAlignment="1">
      <alignment horizontal="right"/>
    </xf>
    <xf numFmtId="10" fontId="1" fillId="8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178" fontId="1" fillId="4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0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8" fontId="1" fillId="0" borderId="0" xfId="0" applyNumberFormat="1" applyFont="1" applyAlignment="1">
      <alignment/>
    </xf>
    <xf numFmtId="178" fontId="1" fillId="11" borderId="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 topLeftCell="A1">
      <selection activeCell="J11" sqref="J11"/>
    </sheetView>
  </sheetViews>
  <sheetFormatPr defaultColWidth="11.421875" defaultRowHeight="12.75"/>
  <cols>
    <col min="1" max="1" width="10.7109375" style="1" customWidth="1"/>
    <col min="2" max="2" width="7.140625" style="1" customWidth="1"/>
    <col min="3" max="3" width="8.57421875" style="1" customWidth="1"/>
    <col min="4" max="4" width="10.7109375" style="1" customWidth="1"/>
    <col min="5" max="5" width="8.57421875" style="1" bestFit="1" customWidth="1"/>
    <col min="6" max="6" width="9.421875" style="1" customWidth="1"/>
    <col min="7" max="7" width="11.00390625" style="1" bestFit="1" customWidth="1"/>
    <col min="8" max="8" width="9.8515625" style="1" bestFit="1" customWidth="1"/>
    <col min="9" max="9" width="10.421875" style="1" bestFit="1" customWidth="1"/>
    <col min="10" max="10" width="8.28125" style="1" bestFit="1" customWidth="1"/>
    <col min="11" max="11" width="14.00390625" style="1" bestFit="1" customWidth="1"/>
    <col min="12" max="12" width="14.421875" style="1" bestFit="1" customWidth="1"/>
    <col min="13" max="13" width="10.57421875" style="1" customWidth="1"/>
    <col min="14" max="14" width="10.28125" style="1" customWidth="1"/>
    <col min="15" max="15" width="2.8515625" style="1" customWidth="1"/>
    <col min="16" max="16" width="1.7109375" style="1" customWidth="1"/>
    <col min="17" max="16384" width="11.421875" style="1" customWidth="1"/>
  </cols>
  <sheetData>
    <row r="1" ht="18">
      <c r="A1" s="24" t="s">
        <v>41</v>
      </c>
    </row>
    <row r="2" ht="11.25">
      <c r="A2" s="3" t="s">
        <v>42</v>
      </c>
    </row>
    <row r="3" spans="1:13" ht="11.25">
      <c r="A3" s="4" t="s">
        <v>18</v>
      </c>
      <c r="E3" s="36">
        <v>102</v>
      </c>
      <c r="F3" s="4" t="s">
        <v>19</v>
      </c>
      <c r="H3" s="4" t="s">
        <v>96</v>
      </c>
      <c r="M3" s="39">
        <v>601800</v>
      </c>
    </row>
    <row r="4" spans="1:13" ht="11.25">
      <c r="A4" s="4" t="s">
        <v>29</v>
      </c>
      <c r="E4" s="28">
        <v>900</v>
      </c>
      <c r="F4" s="4" t="s">
        <v>22</v>
      </c>
      <c r="H4" s="4" t="s">
        <v>20</v>
      </c>
      <c r="M4" s="32">
        <v>0</v>
      </c>
    </row>
    <row r="5" spans="1:13" ht="11.25">
      <c r="A5" s="4" t="s">
        <v>23</v>
      </c>
      <c r="E5" s="29">
        <v>7.9</v>
      </c>
      <c r="F5" s="4" t="s">
        <v>24</v>
      </c>
      <c r="H5" s="4" t="s">
        <v>45</v>
      </c>
      <c r="M5" s="34">
        <v>60000</v>
      </c>
    </row>
    <row r="6" spans="1:13" ht="11.25">
      <c r="A6" s="4" t="s">
        <v>26</v>
      </c>
      <c r="E6" s="30">
        <v>2007</v>
      </c>
      <c r="F6" s="4"/>
      <c r="H6" s="4" t="s">
        <v>25</v>
      </c>
      <c r="M6" s="33">
        <v>0</v>
      </c>
    </row>
    <row r="7" spans="1:10" ht="11.25">
      <c r="A7" s="4" t="s">
        <v>28</v>
      </c>
      <c r="E7" s="67">
        <v>0.4751</v>
      </c>
      <c r="F7" s="1" t="s">
        <v>21</v>
      </c>
      <c r="H7" s="13"/>
      <c r="J7" s="41"/>
    </row>
    <row r="8" spans="1:10" ht="11.25">
      <c r="A8" s="4" t="s">
        <v>43</v>
      </c>
      <c r="E8" s="36">
        <v>0.15</v>
      </c>
      <c r="F8" s="1" t="s">
        <v>21</v>
      </c>
      <c r="H8" s="13"/>
      <c r="J8" s="41"/>
    </row>
    <row r="9" spans="1:13" ht="11.25">
      <c r="A9" s="4" t="s">
        <v>59</v>
      </c>
      <c r="E9" s="63">
        <f>M3/100</f>
        <v>6018</v>
      </c>
      <c r="F9" s="1" t="s">
        <v>21</v>
      </c>
      <c r="H9" s="4" t="s">
        <v>46</v>
      </c>
      <c r="J9" s="38">
        <v>0</v>
      </c>
      <c r="K9" s="4" t="s">
        <v>31</v>
      </c>
      <c r="M9" s="35"/>
    </row>
    <row r="10" spans="1:13" ht="11.25">
      <c r="A10" s="4" t="s">
        <v>95</v>
      </c>
      <c r="E10" s="11">
        <v>30</v>
      </c>
      <c r="F10" s="1" t="s">
        <v>21</v>
      </c>
      <c r="H10" s="4" t="s">
        <v>27</v>
      </c>
      <c r="J10" s="25">
        <v>3.8</v>
      </c>
      <c r="K10" s="4" t="s">
        <v>30</v>
      </c>
      <c r="M10" s="26">
        <f>M3-(M4+M5+M6+M9)</f>
        <v>541800</v>
      </c>
    </row>
    <row r="11" spans="1:11" ht="11.25">
      <c r="A11" s="4" t="s">
        <v>60</v>
      </c>
      <c r="C11" s="14"/>
      <c r="H11" s="1" t="s">
        <v>38</v>
      </c>
      <c r="J11" s="40">
        <v>3.2</v>
      </c>
      <c r="K11" s="4" t="s">
        <v>39</v>
      </c>
    </row>
    <row r="12" spans="3:11" ht="11.25">
      <c r="C12" s="14"/>
      <c r="D12" s="12" t="s">
        <v>93</v>
      </c>
      <c r="E12" s="68">
        <f>E$3*E$4*(1-E$5/100)</f>
        <v>84547.8</v>
      </c>
      <c r="F12" s="4" t="s">
        <v>94</v>
      </c>
      <c r="K12" s="4"/>
    </row>
    <row r="13" spans="1:14" ht="11.25">
      <c r="A13" s="5" t="s">
        <v>0</v>
      </c>
      <c r="C13" s="14"/>
      <c r="F13" s="22"/>
      <c r="G13" s="22"/>
      <c r="M13" s="47">
        <v>0</v>
      </c>
      <c r="N13" s="54">
        <v>0.005</v>
      </c>
    </row>
    <row r="14" spans="2:13" ht="11.25">
      <c r="B14" s="5"/>
      <c r="C14" s="10"/>
      <c r="E14" s="6"/>
      <c r="F14" s="9" t="s">
        <v>91</v>
      </c>
      <c r="G14" s="7"/>
      <c r="K14" s="54" t="s">
        <v>56</v>
      </c>
      <c r="L14" s="54" t="s">
        <v>58</v>
      </c>
      <c r="M14" s="46" t="s">
        <v>61</v>
      </c>
    </row>
    <row r="15" spans="5:12" ht="11.25">
      <c r="E15" s="7" t="s">
        <v>1</v>
      </c>
      <c r="F15" s="7" t="s">
        <v>2</v>
      </c>
      <c r="G15" s="7" t="s">
        <v>3</v>
      </c>
      <c r="H15" s="27" t="s">
        <v>4</v>
      </c>
      <c r="I15" s="31" t="s">
        <v>5</v>
      </c>
      <c r="J15" s="31" t="s">
        <v>6</v>
      </c>
      <c r="K15" s="54" t="s">
        <v>57</v>
      </c>
      <c r="L15" s="10" t="s">
        <v>55</v>
      </c>
    </row>
    <row r="16" spans="5:7" ht="3.75" customHeight="1">
      <c r="E16" s="7"/>
      <c r="F16" s="7"/>
      <c r="G16" s="7"/>
    </row>
    <row r="17" spans="1:7" ht="11.25">
      <c r="A17" s="58" t="s">
        <v>7</v>
      </c>
      <c r="E17" s="7"/>
      <c r="F17" s="7"/>
      <c r="G17" s="37">
        <f>M10</f>
        <v>541800</v>
      </c>
    </row>
    <row r="18" spans="1:15" ht="11.25">
      <c r="A18" s="54" t="s">
        <v>66</v>
      </c>
      <c r="B18" s="2"/>
      <c r="C18" s="2"/>
      <c r="D18" s="2"/>
      <c r="E18" s="8">
        <f>G17*J$10/100</f>
        <v>20588.4</v>
      </c>
      <c r="F18" s="23">
        <f>G$17*$J$11/100</f>
        <v>17337.6</v>
      </c>
      <c r="G18" s="8">
        <f aca="true" t="shared" si="0" ref="G18:G37">G17-F18</f>
        <v>524462.4</v>
      </c>
      <c r="H18" s="2">
        <f>(E$3*E$4*E$7)*(1-$E$5/100)</f>
        <v>40168.65978</v>
      </c>
      <c r="I18" s="2">
        <f aca="true" t="shared" si="1" ref="I18:I42">$E$10</f>
        <v>30</v>
      </c>
      <c r="J18" s="2">
        <f aca="true" t="shared" si="2" ref="J18:J37">$E$9</f>
        <v>6018</v>
      </c>
      <c r="K18" s="2">
        <f aca="true" t="shared" si="3" ref="K18:K37">H18-(B18+C18+E18+F18)-(I18+J18)</f>
        <v>-3805.340219999998</v>
      </c>
      <c r="L18" s="2">
        <f>K18</f>
        <v>-3805.340219999998</v>
      </c>
      <c r="M18" s="45">
        <f>M$13*L18</f>
        <v>0</v>
      </c>
      <c r="N18" s="64">
        <v>1</v>
      </c>
      <c r="O18" s="54">
        <v>1</v>
      </c>
    </row>
    <row r="19" spans="1:15" ht="11.25">
      <c r="A19" s="54" t="s">
        <v>67</v>
      </c>
      <c r="B19" s="2"/>
      <c r="C19" s="2"/>
      <c r="D19" s="2"/>
      <c r="E19" s="8">
        <f aca="true" t="shared" si="4" ref="E19:E42">G18*J$10/100</f>
        <v>19929.571200000002</v>
      </c>
      <c r="F19" s="8">
        <f aca="true" t="shared" si="5" ref="F19:F42">MIN($F$18+$E$18-E19,G18)</f>
        <v>17996.428799999998</v>
      </c>
      <c r="G19" s="8">
        <f t="shared" si="0"/>
        <v>506465.9712</v>
      </c>
      <c r="H19" s="2">
        <f>H$18*N19</f>
        <v>39967.8164811</v>
      </c>
      <c r="I19" s="2">
        <f t="shared" si="1"/>
        <v>30</v>
      </c>
      <c r="J19" s="2">
        <f t="shared" si="2"/>
        <v>6018</v>
      </c>
      <c r="K19" s="2">
        <f t="shared" si="3"/>
        <v>-4006.1835188999976</v>
      </c>
      <c r="L19" s="2">
        <f>L18+K19+M18</f>
        <v>-7811.523738899996</v>
      </c>
      <c r="M19" s="45">
        <f>M$13*L19</f>
        <v>0</v>
      </c>
      <c r="N19" s="64">
        <f>N18*(1-N$13)</f>
        <v>0.995</v>
      </c>
      <c r="O19" s="54">
        <v>2</v>
      </c>
    </row>
    <row r="20" spans="1:15" ht="11.25">
      <c r="A20" s="54" t="s">
        <v>68</v>
      </c>
      <c r="B20" s="2"/>
      <c r="C20" s="2"/>
      <c r="D20" s="2"/>
      <c r="E20" s="8">
        <f t="shared" si="4"/>
        <v>19245.7069056</v>
      </c>
      <c r="F20" s="8">
        <f t="shared" si="5"/>
        <v>18680.2930944</v>
      </c>
      <c r="G20" s="8">
        <f t="shared" si="0"/>
        <v>487785.6781056</v>
      </c>
      <c r="H20" s="2">
        <f aca="true" t="shared" si="6" ref="H20:H37">H$18*N20</f>
        <v>39767.9773986945</v>
      </c>
      <c r="I20" s="2">
        <f t="shared" si="1"/>
        <v>30</v>
      </c>
      <c r="J20" s="2">
        <f t="shared" si="2"/>
        <v>6018</v>
      </c>
      <c r="K20" s="2">
        <f t="shared" si="3"/>
        <v>-4206.0226013055</v>
      </c>
      <c r="L20" s="2">
        <f>L19+K20+M19</f>
        <v>-12017.546340205496</v>
      </c>
      <c r="M20" s="45">
        <f>M$13*L20</f>
        <v>0</v>
      </c>
      <c r="N20" s="64">
        <f>N19*(1-N$13)</f>
        <v>0.990025</v>
      </c>
      <c r="O20" s="54">
        <v>3</v>
      </c>
    </row>
    <row r="21" spans="1:15" ht="11.25">
      <c r="A21" s="54" t="s">
        <v>69</v>
      </c>
      <c r="B21" s="2"/>
      <c r="C21" s="2"/>
      <c r="D21" s="2"/>
      <c r="E21" s="8">
        <f t="shared" si="4"/>
        <v>18535.8557680128</v>
      </c>
      <c r="F21" s="8">
        <f t="shared" si="5"/>
        <v>19390.1442319872</v>
      </c>
      <c r="G21" s="8">
        <f t="shared" si="0"/>
        <v>468395.5338736128</v>
      </c>
      <c r="H21" s="2">
        <f t="shared" si="6"/>
        <v>39569.13751170103</v>
      </c>
      <c r="I21" s="2">
        <f t="shared" si="1"/>
        <v>30</v>
      </c>
      <c r="J21" s="2">
        <f t="shared" si="2"/>
        <v>6018</v>
      </c>
      <c r="K21" s="2">
        <f t="shared" si="3"/>
        <v>-4404.862488298968</v>
      </c>
      <c r="L21" s="2">
        <f>L20+K21+M20</f>
        <v>-16422.408828504464</v>
      </c>
      <c r="M21" s="45">
        <f>M$13*L21</f>
        <v>0</v>
      </c>
      <c r="N21" s="64">
        <f aca="true" t="shared" si="7" ref="N21:N42">N20*(1-N$13)</f>
        <v>0.985074875</v>
      </c>
      <c r="O21" s="54">
        <v>4</v>
      </c>
    </row>
    <row r="22" spans="1:15" ht="11.25">
      <c r="A22" s="54" t="s">
        <v>70</v>
      </c>
      <c r="B22" s="2"/>
      <c r="C22" s="2"/>
      <c r="D22" s="2"/>
      <c r="E22" s="8">
        <f t="shared" si="4"/>
        <v>17799.030287197285</v>
      </c>
      <c r="F22" s="8">
        <f t="shared" si="5"/>
        <v>20126.969712802715</v>
      </c>
      <c r="G22" s="8">
        <f t="shared" si="0"/>
        <v>448268.5641608101</v>
      </c>
      <c r="H22" s="2">
        <f t="shared" si="6"/>
        <v>39371.29182414253</v>
      </c>
      <c r="I22" s="2">
        <f t="shared" si="1"/>
        <v>30</v>
      </c>
      <c r="J22" s="2">
        <f t="shared" si="2"/>
        <v>6018</v>
      </c>
      <c r="K22" s="2">
        <f t="shared" si="3"/>
        <v>-4602.708175857471</v>
      </c>
      <c r="L22" s="2">
        <f>L21+K22+M21</f>
        <v>-21025.117004361935</v>
      </c>
      <c r="M22" s="45">
        <f aca="true" t="shared" si="8" ref="M22:M42">M$13*L22</f>
        <v>0</v>
      </c>
      <c r="N22" s="64">
        <f t="shared" si="7"/>
        <v>0.9801495006250001</v>
      </c>
      <c r="O22" s="54">
        <v>5</v>
      </c>
    </row>
    <row r="23" spans="1:15" ht="11.25">
      <c r="A23" s="54" t="s">
        <v>71</v>
      </c>
      <c r="B23" s="2"/>
      <c r="C23" s="2"/>
      <c r="D23" s="2"/>
      <c r="E23" s="8">
        <f t="shared" si="4"/>
        <v>17034.20543811078</v>
      </c>
      <c r="F23" s="8">
        <f t="shared" si="5"/>
        <v>20891.79456188922</v>
      </c>
      <c r="G23" s="8">
        <f t="shared" si="0"/>
        <v>427376.7695989209</v>
      </c>
      <c r="H23" s="2">
        <f t="shared" si="6"/>
        <v>39174.43536502182</v>
      </c>
      <c r="I23" s="2">
        <f t="shared" si="1"/>
        <v>30</v>
      </c>
      <c r="J23" s="2">
        <f t="shared" si="2"/>
        <v>6018</v>
      </c>
      <c r="K23" s="2">
        <f t="shared" si="3"/>
        <v>-4799.564634978182</v>
      </c>
      <c r="L23" s="2">
        <f aca="true" t="shared" si="9" ref="L23:L42">L22+K23+M22</f>
        <v>-25824.681639340117</v>
      </c>
      <c r="M23" s="45">
        <f t="shared" si="8"/>
        <v>0</v>
      </c>
      <c r="N23" s="64">
        <f t="shared" si="7"/>
        <v>0.9752487531218751</v>
      </c>
      <c r="O23" s="54">
        <v>6</v>
      </c>
    </row>
    <row r="24" spans="1:15" ht="11.25">
      <c r="A24" s="54" t="s">
        <v>72</v>
      </c>
      <c r="B24" s="2"/>
      <c r="C24" s="2"/>
      <c r="D24" s="2"/>
      <c r="E24" s="8">
        <f t="shared" si="4"/>
        <v>16240.317244758993</v>
      </c>
      <c r="F24" s="8">
        <f t="shared" si="5"/>
        <v>21685.682755241007</v>
      </c>
      <c r="G24" s="8">
        <f t="shared" si="0"/>
        <v>405691.0868436799</v>
      </c>
      <c r="H24" s="2">
        <f t="shared" si="6"/>
        <v>38978.563188196706</v>
      </c>
      <c r="I24" s="2">
        <f t="shared" si="1"/>
        <v>30</v>
      </c>
      <c r="J24" s="2">
        <f t="shared" si="2"/>
        <v>6018</v>
      </c>
      <c r="K24" s="2">
        <f t="shared" si="3"/>
        <v>-4995.436811803294</v>
      </c>
      <c r="L24" s="2">
        <f t="shared" si="9"/>
        <v>-30820.11845114341</v>
      </c>
      <c r="M24" s="45">
        <f t="shared" si="8"/>
        <v>0</v>
      </c>
      <c r="N24" s="64">
        <f t="shared" si="7"/>
        <v>0.9703725093562657</v>
      </c>
      <c r="O24" s="54">
        <v>7</v>
      </c>
    </row>
    <row r="25" spans="1:15" ht="11.25">
      <c r="A25" s="54" t="s">
        <v>73</v>
      </c>
      <c r="B25" s="2"/>
      <c r="C25" s="2"/>
      <c r="D25" s="2"/>
      <c r="E25" s="8">
        <f t="shared" si="4"/>
        <v>15416.261300059834</v>
      </c>
      <c r="F25" s="8">
        <f t="shared" si="5"/>
        <v>22509.738699940164</v>
      </c>
      <c r="G25" s="8">
        <f t="shared" si="0"/>
        <v>383181.34814373974</v>
      </c>
      <c r="H25" s="2">
        <f t="shared" si="6"/>
        <v>38783.67037225572</v>
      </c>
      <c r="I25" s="2">
        <f t="shared" si="1"/>
        <v>30</v>
      </c>
      <c r="J25" s="2">
        <f t="shared" si="2"/>
        <v>6018</v>
      </c>
      <c r="K25" s="2">
        <f t="shared" si="3"/>
        <v>-5190.329627744279</v>
      </c>
      <c r="L25" s="2">
        <f t="shared" si="9"/>
        <v>-36010.44807888769</v>
      </c>
      <c r="M25" s="45">
        <f t="shared" si="8"/>
        <v>0</v>
      </c>
      <c r="N25" s="64">
        <f t="shared" si="7"/>
        <v>0.9655206468094844</v>
      </c>
      <c r="O25" s="54">
        <v>8</v>
      </c>
    </row>
    <row r="26" spans="1:15" ht="11.25">
      <c r="A26" s="54" t="s">
        <v>74</v>
      </c>
      <c r="B26" s="2"/>
      <c r="C26" s="2"/>
      <c r="D26" s="2"/>
      <c r="E26" s="8">
        <f t="shared" si="4"/>
        <v>14560.89122946211</v>
      </c>
      <c r="F26" s="8">
        <f t="shared" si="5"/>
        <v>23365.10877053789</v>
      </c>
      <c r="G26" s="8">
        <f t="shared" si="0"/>
        <v>359816.23937320185</v>
      </c>
      <c r="H26" s="2">
        <f t="shared" si="6"/>
        <v>38589.752020394444</v>
      </c>
      <c r="I26" s="2">
        <f t="shared" si="1"/>
        <v>30</v>
      </c>
      <c r="J26" s="2">
        <f t="shared" si="2"/>
        <v>6018</v>
      </c>
      <c r="K26" s="2">
        <f t="shared" si="3"/>
        <v>-5384.247979605556</v>
      </c>
      <c r="L26" s="2">
        <f t="shared" si="9"/>
        <v>-41394.696058493246</v>
      </c>
      <c r="M26" s="45">
        <f t="shared" si="8"/>
        <v>0</v>
      </c>
      <c r="N26" s="64">
        <f t="shared" si="7"/>
        <v>0.960693043575437</v>
      </c>
      <c r="O26" s="54">
        <v>9</v>
      </c>
    </row>
    <row r="27" spans="1:15" ht="11.25">
      <c r="A27" s="54" t="s">
        <v>75</v>
      </c>
      <c r="B27" s="2"/>
      <c r="C27" s="2"/>
      <c r="D27" s="2"/>
      <c r="E27" s="8">
        <f t="shared" si="4"/>
        <v>13673.01709618167</v>
      </c>
      <c r="F27" s="8">
        <f t="shared" si="5"/>
        <v>24252.98290381833</v>
      </c>
      <c r="G27" s="8">
        <f t="shared" si="0"/>
        <v>335563.25646938354</v>
      </c>
      <c r="H27" s="2">
        <f t="shared" si="6"/>
        <v>38396.80326029247</v>
      </c>
      <c r="I27" s="2">
        <f t="shared" si="1"/>
        <v>30</v>
      </c>
      <c r="J27" s="2">
        <f t="shared" si="2"/>
        <v>6018</v>
      </c>
      <c r="K27" s="2">
        <f t="shared" si="3"/>
        <v>-5577.196739707528</v>
      </c>
      <c r="L27" s="2">
        <f t="shared" si="9"/>
        <v>-46971.89279820077</v>
      </c>
      <c r="M27" s="45">
        <f t="shared" si="8"/>
        <v>0</v>
      </c>
      <c r="N27" s="64">
        <f t="shared" si="7"/>
        <v>0.9558895783575597</v>
      </c>
      <c r="O27" s="65">
        <v>10</v>
      </c>
    </row>
    <row r="28" spans="1:15" ht="11.25">
      <c r="A28" s="54" t="s">
        <v>76</v>
      </c>
      <c r="B28" s="2"/>
      <c r="C28" s="2"/>
      <c r="D28" s="2"/>
      <c r="E28" s="8">
        <f t="shared" si="4"/>
        <v>12751.403745836573</v>
      </c>
      <c r="F28" s="8">
        <f t="shared" si="5"/>
        <v>25174.59625416343</v>
      </c>
      <c r="G28" s="8">
        <f t="shared" si="0"/>
        <v>310388.6602152201</v>
      </c>
      <c r="H28" s="2">
        <f t="shared" si="6"/>
        <v>38204.819243991005</v>
      </c>
      <c r="I28" s="2">
        <f t="shared" si="1"/>
        <v>30</v>
      </c>
      <c r="J28" s="2">
        <f t="shared" si="2"/>
        <v>6018</v>
      </c>
      <c r="K28" s="2">
        <f t="shared" si="3"/>
        <v>-5769.180756008995</v>
      </c>
      <c r="L28" s="2">
        <f t="shared" si="9"/>
        <v>-52741.07355420977</v>
      </c>
      <c r="M28" s="45">
        <f t="shared" si="8"/>
        <v>0</v>
      </c>
      <c r="N28" s="64">
        <f t="shared" si="7"/>
        <v>0.9511101304657719</v>
      </c>
      <c r="O28" s="54">
        <v>11</v>
      </c>
    </row>
    <row r="29" spans="1:15" ht="11.25">
      <c r="A29" s="54" t="s">
        <v>77</v>
      </c>
      <c r="B29" s="2"/>
      <c r="C29" s="2"/>
      <c r="D29" s="2"/>
      <c r="E29" s="8">
        <f t="shared" si="4"/>
        <v>11794.769088178364</v>
      </c>
      <c r="F29" s="8">
        <f t="shared" si="5"/>
        <v>26131.230911821636</v>
      </c>
      <c r="G29" s="8">
        <f t="shared" si="0"/>
        <v>284257.4293033985</v>
      </c>
      <c r="H29" s="2">
        <f t="shared" si="6"/>
        <v>38013.795147771045</v>
      </c>
      <c r="I29" s="2">
        <f t="shared" si="1"/>
        <v>30</v>
      </c>
      <c r="J29" s="2">
        <f t="shared" si="2"/>
        <v>6018</v>
      </c>
      <c r="K29" s="2">
        <f t="shared" si="3"/>
        <v>-5960.204852228955</v>
      </c>
      <c r="L29" s="2">
        <f t="shared" si="9"/>
        <v>-58701.27840643872</v>
      </c>
      <c r="M29" s="45">
        <f t="shared" si="8"/>
        <v>0</v>
      </c>
      <c r="N29" s="64">
        <f t="shared" si="7"/>
        <v>0.946354579813443</v>
      </c>
      <c r="O29" s="54">
        <v>12</v>
      </c>
    </row>
    <row r="30" spans="1:15" ht="11.25">
      <c r="A30" s="54" t="s">
        <v>78</v>
      </c>
      <c r="B30" s="2"/>
      <c r="C30" s="2"/>
      <c r="D30" s="2"/>
      <c r="E30" s="8">
        <f t="shared" si="4"/>
        <v>10801.782313529142</v>
      </c>
      <c r="F30" s="8">
        <f t="shared" si="5"/>
        <v>27124.21768647086</v>
      </c>
      <c r="G30" s="8">
        <f t="shared" si="0"/>
        <v>257133.2116169276</v>
      </c>
      <c r="H30" s="2">
        <f t="shared" si="6"/>
        <v>37823.72617203219</v>
      </c>
      <c r="I30" s="2">
        <f t="shared" si="1"/>
        <v>30</v>
      </c>
      <c r="J30" s="2">
        <f t="shared" si="2"/>
        <v>6018</v>
      </c>
      <c r="K30" s="2">
        <f t="shared" si="3"/>
        <v>-6150.273827967809</v>
      </c>
      <c r="L30" s="2">
        <f t="shared" si="9"/>
        <v>-64851.55223440653</v>
      </c>
      <c r="M30" s="45">
        <f t="shared" si="8"/>
        <v>0</v>
      </c>
      <c r="N30" s="64">
        <f t="shared" si="7"/>
        <v>0.9416228069143757</v>
      </c>
      <c r="O30" s="54">
        <v>13</v>
      </c>
    </row>
    <row r="31" spans="1:15" ht="11.25">
      <c r="A31" s="54" t="s">
        <v>79</v>
      </c>
      <c r="B31" s="2"/>
      <c r="C31" s="2"/>
      <c r="D31" s="2"/>
      <c r="E31" s="8">
        <f t="shared" si="4"/>
        <v>9771.062041443249</v>
      </c>
      <c r="F31" s="8">
        <f t="shared" si="5"/>
        <v>28154.93795855675</v>
      </c>
      <c r="G31" s="8">
        <f t="shared" si="0"/>
        <v>228978.27365837086</v>
      </c>
      <c r="H31" s="2">
        <f t="shared" si="6"/>
        <v>37634.60754117203</v>
      </c>
      <c r="I31" s="2">
        <f t="shared" si="1"/>
        <v>30</v>
      </c>
      <c r="J31" s="2">
        <f t="shared" si="2"/>
        <v>6018</v>
      </c>
      <c r="K31" s="2">
        <f t="shared" si="3"/>
        <v>-6339.39245882797</v>
      </c>
      <c r="L31" s="2">
        <f t="shared" si="9"/>
        <v>-71190.9446932345</v>
      </c>
      <c r="M31" s="45">
        <f t="shared" si="8"/>
        <v>0</v>
      </c>
      <c r="N31" s="64">
        <f t="shared" si="7"/>
        <v>0.9369146928798039</v>
      </c>
      <c r="O31" s="54">
        <v>14</v>
      </c>
    </row>
    <row r="32" spans="1:15" ht="11.25">
      <c r="A32" s="54" t="s">
        <v>80</v>
      </c>
      <c r="B32" s="2"/>
      <c r="C32" s="2"/>
      <c r="D32" s="2"/>
      <c r="E32" s="8">
        <f t="shared" si="4"/>
        <v>8701.174399018091</v>
      </c>
      <c r="F32" s="8">
        <f t="shared" si="5"/>
        <v>29224.82560098191</v>
      </c>
      <c r="G32" s="8">
        <f t="shared" si="0"/>
        <v>199753.44805738895</v>
      </c>
      <c r="H32" s="2">
        <f t="shared" si="6"/>
        <v>37446.434503466175</v>
      </c>
      <c r="I32" s="2">
        <f t="shared" si="1"/>
        <v>30</v>
      </c>
      <c r="J32" s="2">
        <f t="shared" si="2"/>
        <v>6018</v>
      </c>
      <c r="K32" s="2">
        <f t="shared" si="3"/>
        <v>-6527.565496533825</v>
      </c>
      <c r="L32" s="2">
        <f t="shared" si="9"/>
        <v>-77718.51018976833</v>
      </c>
      <c r="M32" s="45">
        <f t="shared" si="8"/>
        <v>0</v>
      </c>
      <c r="N32" s="64">
        <f t="shared" si="7"/>
        <v>0.9322301194154049</v>
      </c>
      <c r="O32" s="54">
        <v>15</v>
      </c>
    </row>
    <row r="33" spans="1:15" ht="11.25">
      <c r="A33" s="54" t="s">
        <v>81</v>
      </c>
      <c r="B33" s="2"/>
      <c r="C33" s="2"/>
      <c r="D33" s="2"/>
      <c r="E33" s="8">
        <f t="shared" si="4"/>
        <v>7590.63102618078</v>
      </c>
      <c r="F33" s="8">
        <f t="shared" si="5"/>
        <v>30335.36897381922</v>
      </c>
      <c r="G33" s="8">
        <f t="shared" si="0"/>
        <v>169418.07908356973</v>
      </c>
      <c r="H33" s="2">
        <f t="shared" si="6"/>
        <v>37259.20233094884</v>
      </c>
      <c r="I33" s="2">
        <f t="shared" si="1"/>
        <v>30</v>
      </c>
      <c r="J33" s="2">
        <f t="shared" si="2"/>
        <v>6018</v>
      </c>
      <c r="K33" s="2">
        <f t="shared" si="3"/>
        <v>-6714.797669051157</v>
      </c>
      <c r="L33" s="2">
        <f t="shared" si="9"/>
        <v>-84433.30785881949</v>
      </c>
      <c r="M33" s="45">
        <f t="shared" si="8"/>
        <v>0</v>
      </c>
      <c r="N33" s="64">
        <f t="shared" si="7"/>
        <v>0.9275689688183278</v>
      </c>
      <c r="O33" s="54">
        <v>16</v>
      </c>
    </row>
    <row r="34" spans="1:15" ht="11.25">
      <c r="A34" s="54" t="s">
        <v>82</v>
      </c>
      <c r="B34" s="2"/>
      <c r="C34" s="2"/>
      <c r="D34" s="2"/>
      <c r="E34" s="8">
        <f t="shared" si="4"/>
        <v>6437.887005175649</v>
      </c>
      <c r="F34" s="8">
        <f t="shared" si="5"/>
        <v>31488.11299482435</v>
      </c>
      <c r="G34" s="8">
        <f t="shared" si="0"/>
        <v>137929.96608874536</v>
      </c>
      <c r="H34" s="2">
        <f t="shared" si="6"/>
        <v>37072.906319294096</v>
      </c>
      <c r="I34" s="2">
        <f t="shared" si="1"/>
        <v>30</v>
      </c>
      <c r="J34" s="2">
        <f t="shared" si="2"/>
        <v>6018</v>
      </c>
      <c r="K34" s="2">
        <f t="shared" si="3"/>
        <v>-6901.093680705904</v>
      </c>
      <c r="L34" s="2">
        <f t="shared" si="9"/>
        <v>-91334.4015395254</v>
      </c>
      <c r="M34" s="45">
        <f t="shared" si="8"/>
        <v>0</v>
      </c>
      <c r="N34" s="64">
        <f t="shared" si="7"/>
        <v>0.9229311239742362</v>
      </c>
      <c r="O34" s="54">
        <v>17</v>
      </c>
    </row>
    <row r="35" spans="1:15" ht="11.25">
      <c r="A35" s="54" t="s">
        <v>83</v>
      </c>
      <c r="B35" s="2"/>
      <c r="C35" s="2"/>
      <c r="D35" s="2"/>
      <c r="E35" s="8">
        <f t="shared" si="4"/>
        <v>5241.338711372324</v>
      </c>
      <c r="F35" s="8">
        <f t="shared" si="5"/>
        <v>32684.661288627678</v>
      </c>
      <c r="G35" s="8">
        <f t="shared" si="0"/>
        <v>105245.30480011768</v>
      </c>
      <c r="H35" s="2">
        <f t="shared" si="6"/>
        <v>36887.54178769763</v>
      </c>
      <c r="I35" s="2">
        <f t="shared" si="1"/>
        <v>30</v>
      </c>
      <c r="J35" s="2">
        <f t="shared" si="2"/>
        <v>6018</v>
      </c>
      <c r="K35" s="2">
        <f t="shared" si="3"/>
        <v>-7086.458212302372</v>
      </c>
      <c r="L35" s="2">
        <f t="shared" si="9"/>
        <v>-98420.85975182777</v>
      </c>
      <c r="M35" s="45">
        <f t="shared" si="8"/>
        <v>0</v>
      </c>
      <c r="N35" s="64">
        <f t="shared" si="7"/>
        <v>0.918316468354365</v>
      </c>
      <c r="O35" s="54">
        <v>18</v>
      </c>
    </row>
    <row r="36" spans="1:15" ht="11.25">
      <c r="A36" s="54" t="s">
        <v>84</v>
      </c>
      <c r="B36" s="2"/>
      <c r="C36" s="2"/>
      <c r="D36" s="2"/>
      <c r="E36" s="8">
        <f t="shared" si="4"/>
        <v>3999.321582404472</v>
      </c>
      <c r="F36" s="8">
        <f t="shared" si="5"/>
        <v>33926.678417595525</v>
      </c>
      <c r="G36" s="8">
        <f t="shared" si="0"/>
        <v>71318.62638252215</v>
      </c>
      <c r="H36" s="2">
        <f t="shared" si="6"/>
        <v>36703.104078759134</v>
      </c>
      <c r="I36" s="2">
        <f t="shared" si="1"/>
        <v>30</v>
      </c>
      <c r="J36" s="2">
        <f t="shared" si="2"/>
        <v>6018</v>
      </c>
      <c r="K36" s="2">
        <f t="shared" si="3"/>
        <v>-7270.895921240866</v>
      </c>
      <c r="L36" s="2">
        <f t="shared" si="9"/>
        <v>-105691.75567306863</v>
      </c>
      <c r="M36" s="45">
        <f t="shared" si="8"/>
        <v>0</v>
      </c>
      <c r="N36" s="64">
        <f t="shared" si="7"/>
        <v>0.9137248860125932</v>
      </c>
      <c r="O36" s="54">
        <v>19</v>
      </c>
    </row>
    <row r="37" spans="1:15" ht="11.25">
      <c r="A37" s="54" t="s">
        <v>85</v>
      </c>
      <c r="B37" s="2"/>
      <c r="C37" s="2"/>
      <c r="D37" s="2"/>
      <c r="E37" s="8">
        <f t="shared" si="4"/>
        <v>2710.1078025358415</v>
      </c>
      <c r="F37" s="8">
        <f t="shared" si="5"/>
        <v>35215.892197464156</v>
      </c>
      <c r="G37" s="8">
        <f t="shared" si="0"/>
        <v>36102.734185058</v>
      </c>
      <c r="H37" s="2">
        <f t="shared" si="6"/>
        <v>36519.58855836534</v>
      </c>
      <c r="I37" s="2">
        <f t="shared" si="1"/>
        <v>30</v>
      </c>
      <c r="J37" s="2">
        <f t="shared" si="2"/>
        <v>6018</v>
      </c>
      <c r="K37" s="2">
        <f t="shared" si="3"/>
        <v>-7454.4114416346565</v>
      </c>
      <c r="L37" s="66">
        <f t="shared" si="9"/>
        <v>-113146.16711470329</v>
      </c>
      <c r="M37" s="45">
        <f t="shared" si="8"/>
        <v>0</v>
      </c>
      <c r="N37" s="64">
        <f t="shared" si="7"/>
        <v>0.9091562615825302</v>
      </c>
      <c r="O37" s="65">
        <v>20</v>
      </c>
    </row>
    <row r="38" spans="1:15" ht="11.25">
      <c r="A38" s="54" t="s">
        <v>86</v>
      </c>
      <c r="E38" s="8">
        <f t="shared" si="4"/>
        <v>1371.9038990322038</v>
      </c>
      <c r="F38" s="8">
        <f t="shared" si="5"/>
        <v>36102.734185058</v>
      </c>
      <c r="G38" s="8">
        <f>G37-F38</f>
        <v>0</v>
      </c>
      <c r="H38" s="44">
        <f>(E$3*E$4*E$8)*(1-$E$5/100)*N38</f>
        <v>11472.423894624346</v>
      </c>
      <c r="I38" s="2">
        <f t="shared" si="1"/>
        <v>30</v>
      </c>
      <c r="J38" s="2"/>
      <c r="K38" s="2">
        <f>H38-(B38+C38+E38+F38)-(I38+J38)</f>
        <v>-26032.214189465853</v>
      </c>
      <c r="L38" s="2">
        <f t="shared" si="9"/>
        <v>-139178.38130416913</v>
      </c>
      <c r="M38" s="45">
        <f t="shared" si="8"/>
        <v>0</v>
      </c>
      <c r="N38" s="64">
        <f t="shared" si="7"/>
        <v>0.9046104802746175</v>
      </c>
      <c r="O38" s="54">
        <v>21</v>
      </c>
    </row>
    <row r="39" spans="1:15" ht="11.25">
      <c r="A39" s="54" t="s">
        <v>87</v>
      </c>
      <c r="E39" s="8">
        <f t="shared" si="4"/>
        <v>0</v>
      </c>
      <c r="F39" s="8">
        <f t="shared" si="5"/>
        <v>0</v>
      </c>
      <c r="G39" s="8">
        <f>G38-F39</f>
        <v>0</v>
      </c>
      <c r="H39" s="44">
        <f>(E$3*E$4*E$8)*(1-$E$5/100)*N39</f>
        <v>11415.061775151225</v>
      </c>
      <c r="I39" s="2">
        <f t="shared" si="1"/>
        <v>30</v>
      </c>
      <c r="J39" s="2"/>
      <c r="K39" s="2">
        <f>H39-(B39+C39+E39+F39)-(I39+J39)</f>
        <v>11385.061775151225</v>
      </c>
      <c r="L39" s="2">
        <f t="shared" si="9"/>
        <v>-127793.3195290179</v>
      </c>
      <c r="M39" s="45">
        <f t="shared" si="8"/>
        <v>0</v>
      </c>
      <c r="N39" s="64">
        <f t="shared" si="7"/>
        <v>0.9000874278732445</v>
      </c>
      <c r="O39" s="54">
        <v>22</v>
      </c>
    </row>
    <row r="40" spans="1:15" ht="11.25">
      <c r="A40" s="54" t="s">
        <v>88</v>
      </c>
      <c r="E40" s="8">
        <f t="shared" si="4"/>
        <v>0</v>
      </c>
      <c r="F40" s="8">
        <f t="shared" si="5"/>
        <v>0</v>
      </c>
      <c r="G40" s="8">
        <f>G39-F40</f>
        <v>0</v>
      </c>
      <c r="H40" s="44">
        <f>(E$3*E$4*E$8)*(1-$E$5/100)*N40</f>
        <v>11357.98646627547</v>
      </c>
      <c r="I40" s="2">
        <f t="shared" si="1"/>
        <v>30</v>
      </c>
      <c r="J40" s="2"/>
      <c r="K40" s="2">
        <f>H40-(B40+C40+E40+F40)-(I40+J40)</f>
        <v>11327.98646627547</v>
      </c>
      <c r="L40" s="2">
        <f t="shared" si="9"/>
        <v>-116465.33306274243</v>
      </c>
      <c r="M40" s="45">
        <f t="shared" si="8"/>
        <v>0</v>
      </c>
      <c r="N40" s="64">
        <f t="shared" si="7"/>
        <v>0.8955869907338783</v>
      </c>
      <c r="O40" s="54">
        <v>23</v>
      </c>
    </row>
    <row r="41" spans="1:15" ht="11.25">
      <c r="A41" s="54" t="s">
        <v>89</v>
      </c>
      <c r="E41" s="8">
        <f t="shared" si="4"/>
        <v>0</v>
      </c>
      <c r="F41" s="8">
        <f t="shared" si="5"/>
        <v>0</v>
      </c>
      <c r="G41" s="8">
        <f>G40-F41</f>
        <v>0</v>
      </c>
      <c r="H41" s="44">
        <f>(E$3*E$4*E$8)*(1-$E$5/100)*N41</f>
        <v>11301.19653394409</v>
      </c>
      <c r="I41" s="2">
        <f t="shared" si="1"/>
        <v>30</v>
      </c>
      <c r="J41" s="2"/>
      <c r="K41" s="2">
        <f>H41-(B41+C41+E41+F41)-(I41+J41)</f>
        <v>11271.19653394409</v>
      </c>
      <c r="L41" s="2">
        <f t="shared" si="9"/>
        <v>-105194.13652879834</v>
      </c>
      <c r="M41" s="45">
        <f t="shared" si="8"/>
        <v>0</v>
      </c>
      <c r="N41" s="64">
        <f t="shared" si="7"/>
        <v>0.8911090557802088</v>
      </c>
      <c r="O41" s="54">
        <v>24</v>
      </c>
    </row>
    <row r="42" spans="1:15" ht="11.25">
      <c r="A42" s="54" t="s">
        <v>90</v>
      </c>
      <c r="E42" s="8">
        <f t="shared" si="4"/>
        <v>0</v>
      </c>
      <c r="F42" s="8">
        <f t="shared" si="5"/>
        <v>0</v>
      </c>
      <c r="G42" s="8">
        <f>G41-F42</f>
        <v>0</v>
      </c>
      <c r="H42" s="44">
        <f>(E$3*E$4*E$8)*(1-$E$5/100)*N42</f>
        <v>11244.69055127437</v>
      </c>
      <c r="I42" s="2">
        <f t="shared" si="1"/>
        <v>30</v>
      </c>
      <c r="J42" s="2"/>
      <c r="K42" s="2">
        <f>H42-(B42+C42+E42+F42)-(I42+J42)</f>
        <v>11214.69055127437</v>
      </c>
      <c r="L42" s="2">
        <f t="shared" si="9"/>
        <v>-93979.44597752397</v>
      </c>
      <c r="M42" s="45">
        <f t="shared" si="8"/>
        <v>0</v>
      </c>
      <c r="N42" s="64">
        <f t="shared" si="7"/>
        <v>0.8866535105013078</v>
      </c>
      <c r="O42" s="54">
        <v>25</v>
      </c>
    </row>
    <row r="44" spans="5:6" ht="11.25">
      <c r="E44" s="69">
        <f>SUM(E18:E37)</f>
        <v>252822.73418505793</v>
      </c>
      <c r="F44" s="2">
        <f>SUM(F18:F37)</f>
        <v>505697.26581494196</v>
      </c>
    </row>
    <row r="46" spans="1:12" ht="11.25">
      <c r="A46" s="3" t="s">
        <v>44</v>
      </c>
      <c r="D46" s="43"/>
      <c r="E46" s="43"/>
      <c r="F46" s="43"/>
      <c r="G46" s="43"/>
      <c r="H46" s="43"/>
      <c r="I46" s="43"/>
      <c r="J46" s="43"/>
      <c r="K46" s="43"/>
      <c r="L46" s="42">
        <f>L42</f>
        <v>-93979.44597752397</v>
      </c>
    </row>
    <row r="51" ht="11.25">
      <c r="A51" s="4"/>
    </row>
  </sheetData>
  <sheetProtection selectLockedCells="1"/>
  <conditionalFormatting sqref="E3">
    <cfRule type="cellIs" priority="1" dxfId="0" operator="greaterThanOrEqual" stopIfTrue="1">
      <formula>0</formula>
    </cfRule>
  </conditionalFormatting>
  <dataValidations count="2">
    <dataValidation type="list" allowBlank="1" showInputMessage="1" showErrorMessage="1" sqref="E6">
      <formula1>"2003,2004,2005,2006,2007,2008,2009"</formula1>
    </dataValidation>
    <dataValidation type="decimal" allowBlank="1" showInputMessage="1" showErrorMessage="1" sqref="E3">
      <formula1>0</formula1>
      <formula2>100000</formula2>
    </dataValidation>
  </dataValidations>
  <printOptions/>
  <pageMargins left="0.7874015748031497" right="0.5905511811023623" top="0.984251968503937" bottom="0" header="0.5118110236220472" footer="0.32"/>
  <pageSetup horizontalDpi="300" verticalDpi="300" orientation="landscape" paperSize="9" scale="96" r:id="rId1"/>
  <headerFooter alignWithMargins="0">
    <oddHeader xml:space="preserve">&amp;L&amp;"Arial,Fett"&amp;11Variante 1 :   RMX -&amp;14Dachfläche&amp;11 mit blauen Solarzellen bestückt (Standardfarbe), mit 60.000 € Förderung </oddHeader>
    <oddFooter>&amp;C&amp;8&amp;Z&amp;"   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7" sqref="B7"/>
    </sheetView>
  </sheetViews>
  <sheetFormatPr defaultColWidth="11.421875" defaultRowHeight="12.75"/>
  <cols>
    <col min="1" max="16384" width="11.421875" style="1" customWidth="1"/>
  </cols>
  <sheetData>
    <row r="1" ht="15.75">
      <c r="A1" s="19" t="s">
        <v>47</v>
      </c>
    </row>
    <row r="2" ht="11.25">
      <c r="A2" s="1" t="s">
        <v>32</v>
      </c>
    </row>
    <row r="3" spans="1:5" ht="11.25">
      <c r="A3" s="1" t="s">
        <v>36</v>
      </c>
      <c r="C3" s="3" t="s">
        <v>37</v>
      </c>
      <c r="E3" s="2"/>
    </row>
    <row r="4" spans="1:5" ht="11.25">
      <c r="A4" s="1" t="s">
        <v>34</v>
      </c>
      <c r="B4" s="2"/>
      <c r="D4" s="2"/>
      <c r="E4" s="20"/>
    </row>
    <row r="5" spans="1:5" ht="11.25">
      <c r="A5" s="3" t="s">
        <v>33</v>
      </c>
      <c r="B5" s="3">
        <v>1.91</v>
      </c>
      <c r="C5" s="1" t="s">
        <v>24</v>
      </c>
      <c r="E5" s="20" t="s">
        <v>35</v>
      </c>
    </row>
    <row r="6" spans="1:5" ht="11.25">
      <c r="A6" s="12" t="s">
        <v>7</v>
      </c>
      <c r="B6" s="3"/>
      <c r="E6" s="21">
        <v>0</v>
      </c>
    </row>
    <row r="7" spans="1:5" ht="11.25">
      <c r="A7" s="3"/>
      <c r="B7" s="2">
        <f aca="true" t="shared" si="0" ref="B7:B26">$B$5*E7/200</f>
        <v>0</v>
      </c>
      <c r="D7" s="2">
        <v>0</v>
      </c>
      <c r="E7" s="20">
        <f aca="true" t="shared" si="1" ref="E7:E13">E6-D7</f>
        <v>0</v>
      </c>
    </row>
    <row r="8" spans="1:5" ht="11.25">
      <c r="A8" s="1" t="s">
        <v>8</v>
      </c>
      <c r="B8" s="18">
        <f t="shared" si="0"/>
        <v>0</v>
      </c>
      <c r="C8" s="17">
        <f>SUM(B7:B8)</f>
        <v>0</v>
      </c>
      <c r="D8" s="2">
        <v>0</v>
      </c>
      <c r="E8" s="16">
        <f t="shared" si="1"/>
        <v>0</v>
      </c>
    </row>
    <row r="9" spans="1:5" ht="11.25">
      <c r="A9" s="3"/>
      <c r="B9" s="2">
        <f t="shared" si="0"/>
        <v>0</v>
      </c>
      <c r="D9" s="2">
        <v>0</v>
      </c>
      <c r="E9" s="20">
        <f t="shared" si="1"/>
        <v>0</v>
      </c>
    </row>
    <row r="10" spans="1:7" ht="11.25">
      <c r="A10" s="1" t="s">
        <v>9</v>
      </c>
      <c r="B10" s="18">
        <f t="shared" si="0"/>
        <v>0</v>
      </c>
      <c r="C10" s="17">
        <f>SUM(B9:B10)</f>
        <v>0</v>
      </c>
      <c r="D10" s="2">
        <v>0</v>
      </c>
      <c r="E10" s="16">
        <f t="shared" si="1"/>
        <v>0</v>
      </c>
      <c r="F10" s="15"/>
      <c r="G10" s="2"/>
    </row>
    <row r="11" spans="2:6" ht="11.25">
      <c r="B11" s="2">
        <f t="shared" si="0"/>
        <v>0</v>
      </c>
      <c r="D11" s="2">
        <f>$E$10/16</f>
        <v>0</v>
      </c>
      <c r="E11" s="2">
        <f t="shared" si="1"/>
        <v>0</v>
      </c>
      <c r="F11" s="15"/>
    </row>
    <row r="12" spans="1:5" ht="11.25">
      <c r="A12" s="1" t="s">
        <v>10</v>
      </c>
      <c r="B12" s="18">
        <f t="shared" si="0"/>
        <v>0</v>
      </c>
      <c r="C12" s="17">
        <f>SUM(B11:B12)</f>
        <v>0</v>
      </c>
      <c r="D12" s="2">
        <f aca="true" t="shared" si="2" ref="D12:D26">$E$10/16</f>
        <v>0</v>
      </c>
      <c r="E12" s="16">
        <f t="shared" si="1"/>
        <v>0</v>
      </c>
    </row>
    <row r="13" spans="2:5" ht="11.25">
      <c r="B13" s="2">
        <f t="shared" si="0"/>
        <v>0</v>
      </c>
      <c r="C13" s="15"/>
      <c r="D13" s="2">
        <f t="shared" si="2"/>
        <v>0</v>
      </c>
      <c r="E13" s="2">
        <f t="shared" si="1"/>
        <v>0</v>
      </c>
    </row>
    <row r="14" spans="1:5" ht="11.25">
      <c r="A14" s="1" t="s">
        <v>11</v>
      </c>
      <c r="B14" s="18">
        <f t="shared" si="0"/>
        <v>0</v>
      </c>
      <c r="C14" s="17">
        <f>SUM(B13:B14)</f>
        <v>0</v>
      </c>
      <c r="D14" s="2">
        <f t="shared" si="2"/>
        <v>0</v>
      </c>
      <c r="E14" s="16">
        <f aca="true" t="shared" si="3" ref="E14:E26">E13-D14</f>
        <v>0</v>
      </c>
    </row>
    <row r="15" spans="2:5" ht="11.25">
      <c r="B15" s="2">
        <f t="shared" si="0"/>
        <v>0</v>
      </c>
      <c r="C15" s="15"/>
      <c r="D15" s="2">
        <f t="shared" si="2"/>
        <v>0</v>
      </c>
      <c r="E15" s="2">
        <f>E14-D15</f>
        <v>0</v>
      </c>
    </row>
    <row r="16" spans="1:5" ht="11.25">
      <c r="A16" s="1" t="s">
        <v>12</v>
      </c>
      <c r="B16" s="18">
        <f t="shared" si="0"/>
        <v>0</v>
      </c>
      <c r="C16" s="17">
        <f>SUM(B15:B16)</f>
        <v>0</v>
      </c>
      <c r="D16" s="2">
        <f t="shared" si="2"/>
        <v>0</v>
      </c>
      <c r="E16" s="16">
        <f t="shared" si="3"/>
        <v>0</v>
      </c>
    </row>
    <row r="17" spans="2:5" ht="11.25">
      <c r="B17" s="2">
        <f t="shared" si="0"/>
        <v>0</v>
      </c>
      <c r="C17" s="15"/>
      <c r="D17" s="2">
        <f t="shared" si="2"/>
        <v>0</v>
      </c>
      <c r="E17" s="2">
        <f t="shared" si="3"/>
        <v>0</v>
      </c>
    </row>
    <row r="18" spans="1:5" ht="11.25">
      <c r="A18" s="1" t="s">
        <v>13</v>
      </c>
      <c r="B18" s="18">
        <f t="shared" si="0"/>
        <v>0</v>
      </c>
      <c r="C18" s="17">
        <f>SUM(B17:B18)</f>
        <v>0</v>
      </c>
      <c r="D18" s="2">
        <f t="shared" si="2"/>
        <v>0</v>
      </c>
      <c r="E18" s="16">
        <f t="shared" si="3"/>
        <v>0</v>
      </c>
    </row>
    <row r="19" spans="2:5" ht="11.25">
      <c r="B19" s="2">
        <f t="shared" si="0"/>
        <v>0</v>
      </c>
      <c r="C19" s="15"/>
      <c r="D19" s="2">
        <f t="shared" si="2"/>
        <v>0</v>
      </c>
      <c r="E19" s="2">
        <f t="shared" si="3"/>
        <v>0</v>
      </c>
    </row>
    <row r="20" spans="1:5" ht="11.25">
      <c r="A20" s="1" t="s">
        <v>14</v>
      </c>
      <c r="B20" s="18">
        <f t="shared" si="0"/>
        <v>0</v>
      </c>
      <c r="C20" s="17">
        <f>SUM(B19:B20)</f>
        <v>0</v>
      </c>
      <c r="D20" s="2">
        <f t="shared" si="2"/>
        <v>0</v>
      </c>
      <c r="E20" s="16">
        <f t="shared" si="3"/>
        <v>0</v>
      </c>
    </row>
    <row r="21" spans="2:5" ht="11.25">
      <c r="B21" s="2">
        <f t="shared" si="0"/>
        <v>0</v>
      </c>
      <c r="C21" s="15"/>
      <c r="D21" s="2">
        <f t="shared" si="2"/>
        <v>0</v>
      </c>
      <c r="E21" s="2">
        <f t="shared" si="3"/>
        <v>0</v>
      </c>
    </row>
    <row r="22" spans="1:5" ht="11.25">
      <c r="A22" s="1" t="s">
        <v>15</v>
      </c>
      <c r="B22" s="18">
        <f t="shared" si="0"/>
        <v>0</v>
      </c>
      <c r="C22" s="17">
        <f>SUM(B21:B22)</f>
        <v>0</v>
      </c>
      <c r="D22" s="2">
        <f t="shared" si="2"/>
        <v>0</v>
      </c>
      <c r="E22" s="16">
        <f t="shared" si="3"/>
        <v>0</v>
      </c>
    </row>
    <row r="23" spans="2:5" ht="11.25">
      <c r="B23" s="2">
        <f t="shared" si="0"/>
        <v>0</v>
      </c>
      <c r="C23" s="15"/>
      <c r="D23" s="2">
        <f t="shared" si="2"/>
        <v>0</v>
      </c>
      <c r="E23" s="2">
        <f t="shared" si="3"/>
        <v>0</v>
      </c>
    </row>
    <row r="24" spans="1:5" ht="11.25">
      <c r="A24" s="1" t="s">
        <v>16</v>
      </c>
      <c r="B24" s="18">
        <f t="shared" si="0"/>
        <v>0</v>
      </c>
      <c r="C24" s="17">
        <f>SUM(B23:B24)</f>
        <v>0</v>
      </c>
      <c r="D24" s="2">
        <f t="shared" si="2"/>
        <v>0</v>
      </c>
      <c r="E24" s="16">
        <f t="shared" si="3"/>
        <v>0</v>
      </c>
    </row>
    <row r="25" spans="2:5" ht="11.25">
      <c r="B25" s="2">
        <f t="shared" si="0"/>
        <v>0</v>
      </c>
      <c r="C25" s="15"/>
      <c r="D25" s="2">
        <f t="shared" si="2"/>
        <v>0</v>
      </c>
      <c r="E25" s="2">
        <f t="shared" si="3"/>
        <v>0</v>
      </c>
    </row>
    <row r="26" spans="1:5" ht="11.25">
      <c r="A26" s="1" t="s">
        <v>17</v>
      </c>
      <c r="B26" s="18">
        <f t="shared" si="0"/>
        <v>0</v>
      </c>
      <c r="C26" s="17">
        <f>SUM(B25:B26)</f>
        <v>0</v>
      </c>
      <c r="D26" s="2">
        <f t="shared" si="2"/>
        <v>0</v>
      </c>
      <c r="E26" s="16">
        <f t="shared" si="3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6" sqref="B6"/>
    </sheetView>
  </sheetViews>
  <sheetFormatPr defaultColWidth="11.421875" defaultRowHeight="12.75"/>
  <sheetData>
    <row r="1" ht="12.75">
      <c r="I1" t="s">
        <v>63</v>
      </c>
    </row>
    <row r="2" spans="1:9" ht="25.5">
      <c r="A2" s="52" t="s">
        <v>40</v>
      </c>
      <c r="B2" s="49" t="s">
        <v>50</v>
      </c>
      <c r="F2" s="49" t="s">
        <v>51</v>
      </c>
      <c r="H2" s="50" t="s">
        <v>52</v>
      </c>
      <c r="I2" s="51" t="s">
        <v>53</v>
      </c>
    </row>
    <row r="3" spans="2:9" ht="12.75">
      <c r="B3" s="54" t="s">
        <v>92</v>
      </c>
      <c r="D3" t="s">
        <v>64</v>
      </c>
      <c r="H3" s="52">
        <v>8.33</v>
      </c>
      <c r="I3" s="52" t="s">
        <v>48</v>
      </c>
    </row>
    <row r="4" spans="1:9" ht="12.75">
      <c r="A4" s="52">
        <v>2003</v>
      </c>
      <c r="B4" s="55">
        <v>0.457</v>
      </c>
      <c r="C4" t="s">
        <v>21</v>
      </c>
      <c r="D4" s="56" t="s">
        <v>65</v>
      </c>
      <c r="F4">
        <v>0.457</v>
      </c>
      <c r="H4" s="52">
        <v>3.03</v>
      </c>
      <c r="I4" s="52" t="s">
        <v>49</v>
      </c>
    </row>
    <row r="5" spans="1:6" ht="12.75">
      <c r="A5" s="52">
        <v>2004</v>
      </c>
      <c r="B5" s="62">
        <f>ROUND(E5,4)</f>
        <v>0.574</v>
      </c>
      <c r="C5" t="s">
        <v>21</v>
      </c>
      <c r="D5" s="57">
        <v>1</v>
      </c>
      <c r="E5" s="60">
        <v>0.574</v>
      </c>
      <c r="F5">
        <v>0.434</v>
      </c>
    </row>
    <row r="6" spans="1:6" ht="12.75">
      <c r="A6" s="52">
        <v>2005</v>
      </c>
      <c r="B6" s="62">
        <f>ROUND(E6,4)</f>
        <v>0.5453</v>
      </c>
      <c r="C6" t="s">
        <v>21</v>
      </c>
      <c r="D6" s="57">
        <f>D5*0.95</f>
        <v>0.95</v>
      </c>
      <c r="E6" s="61">
        <f aca="true" t="shared" si="0" ref="E6:E14">TRUNC(E5*0.95,6)</f>
        <v>0.5453</v>
      </c>
      <c r="F6">
        <v>0.412</v>
      </c>
    </row>
    <row r="7" spans="1:6" ht="12.75">
      <c r="A7" s="52">
        <v>2006</v>
      </c>
      <c r="B7" s="62">
        <f aca="true" t="shared" si="1" ref="B7:B14">ROUND(E7,4)</f>
        <v>0.518</v>
      </c>
      <c r="C7" t="s">
        <v>21</v>
      </c>
      <c r="D7" s="57">
        <f>D6*0.95</f>
        <v>0.9025</v>
      </c>
      <c r="E7" s="61">
        <f t="shared" si="0"/>
        <v>0.518035</v>
      </c>
      <c r="F7">
        <v>0.392</v>
      </c>
    </row>
    <row r="8" spans="1:5" ht="12.75">
      <c r="A8" s="52">
        <v>2007</v>
      </c>
      <c r="B8" s="62">
        <f t="shared" si="1"/>
        <v>0.4921</v>
      </c>
      <c r="C8" t="s">
        <v>21</v>
      </c>
      <c r="D8" s="57">
        <f>D7*0.95</f>
        <v>0.8573749999999999</v>
      </c>
      <c r="E8" s="61">
        <f t="shared" si="0"/>
        <v>0.492133</v>
      </c>
    </row>
    <row r="9" spans="1:9" ht="12.75">
      <c r="A9" s="52">
        <v>2008</v>
      </c>
      <c r="B9" s="62">
        <f t="shared" si="1"/>
        <v>0.4675</v>
      </c>
      <c r="C9" t="s">
        <v>21</v>
      </c>
      <c r="D9" s="57">
        <f>D8*0.95</f>
        <v>0.8145062499999999</v>
      </c>
      <c r="E9" s="61">
        <f t="shared" si="0"/>
        <v>0.467526</v>
      </c>
      <c r="H9" s="59"/>
      <c r="I9" s="61"/>
    </row>
    <row r="10" spans="1:9" ht="12.75">
      <c r="A10" s="52">
        <v>2009</v>
      </c>
      <c r="B10" s="62">
        <f t="shared" si="1"/>
        <v>0.4441</v>
      </c>
      <c r="C10" t="s">
        <v>21</v>
      </c>
      <c r="D10" s="57">
        <f>D9*0.95</f>
        <v>0.7737809374999999</v>
      </c>
      <c r="E10" s="61">
        <f t="shared" si="0"/>
        <v>0.444149</v>
      </c>
      <c r="H10" s="59"/>
      <c r="I10" s="61"/>
    </row>
    <row r="11" spans="1:11" ht="12.75">
      <c r="A11" s="52">
        <v>2010</v>
      </c>
      <c r="B11" s="62">
        <f t="shared" si="1"/>
        <v>0.4219</v>
      </c>
      <c r="C11" t="s">
        <v>21</v>
      </c>
      <c r="E11" s="61">
        <f t="shared" si="0"/>
        <v>0.421941</v>
      </c>
      <c r="H11" s="59"/>
      <c r="I11" s="61"/>
      <c r="K11" s="55"/>
    </row>
    <row r="12" spans="1:11" ht="12.75">
      <c r="A12" s="52">
        <v>2011</v>
      </c>
      <c r="B12" s="62">
        <f t="shared" si="1"/>
        <v>0.4008</v>
      </c>
      <c r="C12" t="s">
        <v>21</v>
      </c>
      <c r="E12" s="61">
        <f t="shared" si="0"/>
        <v>0.400843</v>
      </c>
      <c r="H12" s="59"/>
      <c r="I12" s="61"/>
      <c r="K12" s="55"/>
    </row>
    <row r="13" spans="1:11" ht="12.75">
      <c r="A13" s="52">
        <v>2012</v>
      </c>
      <c r="B13" s="62">
        <f t="shared" si="1"/>
        <v>0.3808</v>
      </c>
      <c r="C13" t="s">
        <v>21</v>
      </c>
      <c r="E13" s="61">
        <f t="shared" si="0"/>
        <v>0.3808</v>
      </c>
      <c r="H13" s="59"/>
      <c r="I13" s="61"/>
      <c r="K13" s="55"/>
    </row>
    <row r="14" spans="1:11" ht="12.75">
      <c r="A14" s="52">
        <v>2013</v>
      </c>
      <c r="B14" s="62">
        <f t="shared" si="1"/>
        <v>0.3618</v>
      </c>
      <c r="C14" t="s">
        <v>21</v>
      </c>
      <c r="E14" s="61">
        <f t="shared" si="0"/>
        <v>0.36176</v>
      </c>
      <c r="H14" s="59"/>
      <c r="I14" s="61"/>
      <c r="K14" s="55"/>
    </row>
    <row r="15" spans="8:11" ht="12.75">
      <c r="H15" s="59"/>
      <c r="I15" s="61"/>
      <c r="K15" s="55"/>
    </row>
    <row r="16" spans="8:11" ht="12.75">
      <c r="H16" s="59"/>
      <c r="I16" s="61"/>
      <c r="K16" s="55"/>
    </row>
    <row r="17" spans="8:11" ht="12.75">
      <c r="H17" s="59"/>
      <c r="I17" s="61"/>
      <c r="K17" s="55"/>
    </row>
    <row r="18" spans="1:11" ht="12.75">
      <c r="A18" t="s">
        <v>54</v>
      </c>
      <c r="H18" s="59"/>
      <c r="I18" s="61"/>
      <c r="K18" s="55"/>
    </row>
    <row r="19" spans="1:11" ht="12.75">
      <c r="A19" s="53">
        <v>2004</v>
      </c>
      <c r="B19" s="48">
        <f>LOOKUP(A19,A4:B10)</f>
        <v>0.574</v>
      </c>
      <c r="H19" s="59"/>
      <c r="I19" s="61"/>
      <c r="K19" s="55"/>
    </row>
    <row r="20" spans="1:11" ht="12.75">
      <c r="A20">
        <v>3.03</v>
      </c>
      <c r="C20" t="s">
        <v>62</v>
      </c>
      <c r="H20" s="55"/>
      <c r="I20" s="55"/>
      <c r="K20" s="5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2005-07-28T13:40:08Z</cp:lastPrinted>
  <dcterms:created xsi:type="dcterms:W3CDTF">2003-07-24T08:24:22Z</dcterms:created>
  <dcterms:modified xsi:type="dcterms:W3CDTF">2005-07-28T13:41:04Z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-95944724</vt:i4>
  </property>
  <property fmtid="{D5CDD505-2E9C-101B-9397-08002B2CF9AE}" pid="3" name="_EmailSubject">
    <vt:lpwstr>RMX - Photovoltaikvorlage</vt:lpwstr>
  </property>
  <property fmtid="{D5CDD505-2E9C-101B-9397-08002B2CF9AE}" pid="4" name="_AuthorEmail">
    <vt:lpwstr>Hermann-Josef.Schmitz@lvr.de</vt:lpwstr>
  </property>
  <property fmtid="{D5CDD505-2E9C-101B-9397-08002B2CF9AE}" pid="5" name="_AuthorEmailDisplayName">
    <vt:lpwstr>Schmitz, Hermann-Josef</vt:lpwstr>
  </property>
  <property fmtid="{D5CDD505-2E9C-101B-9397-08002B2CF9AE}" pid="6" name="_PreviousAdHocReviewCycleID">
    <vt:i4>941937278</vt:i4>
  </property>
</Properties>
</file>